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workbookProtection workbookPassword="CC3D" lockStructure="1"/>
  <bookViews>
    <workbookView xWindow="2385" yWindow="120" windowWidth="24915" windowHeight="14310" tabRatio="139"/>
  </bookViews>
  <sheets>
    <sheet name="Klippelængde" sheetId="1" r:id="rId1"/>
  </sheets>
  <definedNames>
    <definedName name="_xlnm.Print_Area" localSheetId="0">Klippelængde!$A$1:$L$46</definedName>
  </definedNames>
  <calcPr calcId="145621"/>
</workbook>
</file>

<file path=xl/calcChain.xml><?xml version="1.0" encoding="utf-8"?>
<calcChain xmlns="http://schemas.openxmlformats.org/spreadsheetml/2006/main">
  <c r="J13" i="1" l="1"/>
  <c r="J9" i="1"/>
  <c r="J11" i="1" s="1"/>
  <c r="K26" i="1" s="1"/>
  <c r="D26" i="1" s="1"/>
  <c r="C41" i="1"/>
  <c r="E41" i="1"/>
  <c r="G26" i="1" l="1"/>
  <c r="J26" i="1"/>
  <c r="K24" i="1"/>
  <c r="D24" i="1" s="1"/>
  <c r="K25" i="1"/>
  <c r="J15" i="1"/>
  <c r="J17" i="1" s="1"/>
  <c r="G17" i="1"/>
  <c r="E26" i="1" s="1"/>
  <c r="I26" i="1" s="1"/>
  <c r="K41" i="1"/>
  <c r="K36" i="1"/>
  <c r="K35" i="1"/>
  <c r="K40" i="1"/>
  <c r="K29" i="1"/>
  <c r="K39" i="1"/>
  <c r="K30" i="1"/>
  <c r="K38" i="1"/>
  <c r="K37" i="1"/>
  <c r="K32" i="1"/>
  <c r="K28" i="1"/>
  <c r="K31" i="1"/>
  <c r="K34" i="1"/>
  <c r="K33" i="1"/>
  <c r="D31" i="1" l="1"/>
  <c r="J31" i="1"/>
  <c r="E38" i="1"/>
  <c r="J38" i="1"/>
  <c r="D38" i="1"/>
  <c r="J40" i="1"/>
  <c r="D40" i="1"/>
  <c r="J34" i="1"/>
  <c r="D34" i="1"/>
  <c r="D37" i="1"/>
  <c r="J37" i="1"/>
  <c r="J30" i="1"/>
  <c r="D30" i="1"/>
  <c r="D29" i="1"/>
  <c r="J29" i="1"/>
  <c r="D35" i="1"/>
  <c r="J35" i="1"/>
  <c r="D41" i="1"/>
  <c r="J41" i="1"/>
  <c r="D33" i="1"/>
  <c r="J33" i="1"/>
  <c r="J32" i="1"/>
  <c r="D32" i="1"/>
  <c r="D39" i="1"/>
  <c r="J39" i="1"/>
  <c r="J36" i="1"/>
  <c r="D36" i="1"/>
  <c r="E29" i="1"/>
  <c r="E31" i="1"/>
  <c r="D25" i="1"/>
  <c r="E33" i="1"/>
  <c r="E32" i="1"/>
  <c r="E28" i="1"/>
  <c r="E25" i="1"/>
  <c r="I25" i="1" s="1"/>
  <c r="G25" i="1"/>
  <c r="G24" i="1"/>
  <c r="E24" i="1"/>
  <c r="E30" i="1"/>
  <c r="J24" i="1"/>
  <c r="J25" i="1"/>
  <c r="E37" i="1"/>
  <c r="E36" i="1"/>
  <c r="E35" i="1"/>
  <c r="E40" i="1"/>
  <c r="E34" i="1"/>
  <c r="E39" i="1"/>
  <c r="C40" i="1"/>
  <c r="C39" i="1" s="1"/>
  <c r="C38" i="1" s="1"/>
  <c r="C37" i="1" s="1"/>
  <c r="C36" i="1" s="1"/>
  <c r="C35" i="1" s="1"/>
  <c r="C34" i="1" s="1"/>
  <c r="C33" i="1" s="1"/>
  <c r="C32" i="1" s="1"/>
  <c r="C31" i="1" s="1"/>
  <c r="C30" i="1" s="1"/>
  <c r="C29" i="1" s="1"/>
  <c r="C28" i="1" s="1"/>
  <c r="D28" i="1"/>
  <c r="G34" i="1"/>
  <c r="G29" i="1"/>
  <c r="G33" i="1"/>
  <c r="G39" i="1"/>
  <c r="G31" i="1"/>
  <c r="G30" i="1"/>
  <c r="G38" i="1"/>
  <c r="G41" i="1"/>
  <c r="I41" i="1" s="1"/>
  <c r="G37" i="1"/>
  <c r="G36" i="1"/>
  <c r="G32" i="1"/>
  <c r="G35" i="1"/>
  <c r="J28" i="1"/>
  <c r="G28" i="1"/>
  <c r="G40" i="1"/>
  <c r="I24" i="1" l="1"/>
  <c r="I33" i="1"/>
  <c r="I34" i="1"/>
  <c r="I35" i="1"/>
  <c r="I28" i="1"/>
  <c r="I30" i="1"/>
  <c r="I36" i="1"/>
  <c r="I38" i="1"/>
  <c r="I32" i="1"/>
  <c r="I31" i="1"/>
  <c r="I29" i="1"/>
  <c r="I37" i="1"/>
  <c r="I40" i="1"/>
  <c r="I39" i="1"/>
  <c r="K27" i="1"/>
  <c r="J27" i="1" l="1"/>
  <c r="C27" i="1"/>
  <c r="C26" i="1" s="1"/>
  <c r="C25" i="1" s="1"/>
  <c r="C24" i="1" s="1"/>
  <c r="E27" i="1"/>
  <c r="I27" i="1" s="1"/>
  <c r="D27" i="1"/>
  <c r="G27" i="1"/>
</calcChain>
</file>

<file path=xl/comments1.xml><?xml version="1.0" encoding="utf-8"?>
<comments xmlns="http://schemas.openxmlformats.org/spreadsheetml/2006/main">
  <authors>
    <author>Ballum</author>
  </authors>
  <commentList>
    <comment ref="G9" authorId="0">
      <text>
        <r>
          <rPr>
            <b/>
            <sz val="9"/>
            <color indexed="81"/>
            <rFont val="Tahoma"/>
            <family val="2"/>
          </rPr>
          <t xml:space="preserve">Indsæt Armeringsstørelse: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Hvor højt oppe ønsker du den første bøjle placeret - målt fra gulv til midt jern: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Hvor langt nede ønsker du den første øverste bøjle placeret - målt fra top af søjle til midt jern: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Maximale bøjleafstand
jf. armeringstegning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Målt fra midt til midt mellem bøjlerne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<sst xmlns="http://schemas.openxmlformats.org/spreadsheetml/2006/main" count="43" uniqueCount="31">
  <si>
    <t>Armering (bøjler):</t>
  </si>
  <si>
    <t>Bredde i top:</t>
  </si>
  <si>
    <t>Start fra bund:</t>
  </si>
  <si>
    <t>Bredde i bund:</t>
  </si>
  <si>
    <t>Afstand i top:</t>
  </si>
  <si>
    <t>Dybde:</t>
  </si>
  <si>
    <t>Søjlens højde:</t>
  </si>
  <si>
    <t>Dæklag:</t>
  </si>
  <si>
    <t xml:space="preserve">Bøjle nr. </t>
  </si>
  <si>
    <t>Størrelse (konisk side)</t>
  </si>
  <si>
    <t>Størrelse (lige side)</t>
  </si>
  <si>
    <t>Side</t>
  </si>
  <si>
    <t>Dybde/bredde</t>
  </si>
  <si>
    <t>Højde fra gulv</t>
  </si>
  <si>
    <t>stk.</t>
  </si>
  <si>
    <t>Mellemrum:</t>
  </si>
  <si>
    <t>Beregnet bøjleafstand:</t>
  </si>
  <si>
    <t>Bøjler:</t>
  </si>
  <si>
    <t>Ny Tendor (Y):</t>
  </si>
  <si>
    <t>Beton:</t>
  </si>
  <si>
    <t>Spild:</t>
  </si>
  <si>
    <t>Samlet:</t>
  </si>
  <si>
    <r>
      <t>m</t>
    </r>
    <r>
      <rPr>
        <vertAlign val="superscript"/>
        <sz val="10"/>
        <rFont val="Comic Sans MS"/>
        <family val="4"/>
      </rPr>
      <t>3</t>
    </r>
  </si>
  <si>
    <t>Data: og Beton:</t>
  </si>
  <si>
    <t>mm</t>
  </si>
  <si>
    <t>Søjlens betonmål:</t>
  </si>
  <si>
    <t>Maks. bøjleafstand:</t>
  </si>
  <si>
    <t>Klippelængde</t>
  </si>
  <si>
    <t>Beregning af armering og beton til konisk søjle eller bjælke</t>
  </si>
  <si>
    <t>Titel:</t>
  </si>
  <si>
    <t>Udfyld kun grønne felter og titel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</si>
</sst>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5" x14ac:knownFonts="1">
    <font>
      <sz val="10"/>
      <name val="Arial"/>
      <family val="2"/>
    </font>
    <font>
      <sz val="12"/>
      <name val="Times New Roman"/>
      <family val="1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sz val="10"/>
      <color theme="0" tint="-0.34998626667073579"/>
      <name val="Arial"/>
      <family val="2"/>
    </font>
    <font>
      <sz val="22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vertAlign val="superscript"/>
      <sz val="10"/>
      <name val="Comic Sans MS"/>
      <family val="4"/>
    </font>
    <font>
      <b/>
      <sz val="12"/>
      <name val="Comic Sans MS"/>
      <family val="4"/>
    </font>
    <font>
      <u/>
      <sz val="12"/>
      <name val="Comic Sans MS"/>
      <family val="4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Comic Sans MS"/>
      <family val="4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4FE9E"/>
        <bgColor indexed="49"/>
      </patternFill>
    </fill>
    <fill>
      <patternFill patternType="solid">
        <fgColor rgb="FF94FE9E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0" fillId="2" borderId="0" xfId="0" applyFill="1"/>
    <xf numFmtId="0" fontId="0" fillId="4" borderId="4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0" xfId="0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Border="1"/>
    <xf numFmtId="164" fontId="0" fillId="4" borderId="0" xfId="0" applyNumberFormat="1" applyFill="1" applyBorder="1" applyAlignment="1">
      <alignment horizontal="center"/>
    </xf>
    <xf numFmtId="164" fontId="1" fillId="4" borderId="0" xfId="0" applyNumberFormat="1" applyFont="1" applyFill="1" applyBorder="1" applyAlignment="1">
      <alignment horizontal="center"/>
    </xf>
    <xf numFmtId="164" fontId="4" fillId="4" borderId="0" xfId="0" applyNumberFormat="1" applyFont="1" applyFill="1" applyBorder="1" applyAlignment="1">
      <alignment horizontal="center"/>
    </xf>
    <xf numFmtId="0" fontId="5" fillId="0" borderId="0" xfId="0" applyFont="1"/>
    <xf numFmtId="0" fontId="8" fillId="0" borderId="0" xfId="0" applyFont="1" applyBorder="1"/>
    <xf numFmtId="0" fontId="8" fillId="0" borderId="0" xfId="0" applyFo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3" xfId="0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164" fontId="10" fillId="5" borderId="10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10" fillId="6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164" fontId="0" fillId="4" borderId="11" xfId="0" applyNumberFormat="1" applyFill="1" applyBorder="1" applyAlignment="1">
      <alignment horizontal="center"/>
    </xf>
    <xf numFmtId="0" fontId="0" fillId="4" borderId="11" xfId="0" applyFill="1" applyBorder="1"/>
    <xf numFmtId="0" fontId="0" fillId="4" borderId="11" xfId="0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0" fontId="12" fillId="4" borderId="6" xfId="0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8" fillId="4" borderId="7" xfId="0" applyFont="1" applyFill="1" applyBorder="1"/>
    <xf numFmtId="0" fontId="8" fillId="4" borderId="0" xfId="0" applyFont="1" applyFill="1" applyBorder="1"/>
    <xf numFmtId="0" fontId="8" fillId="4" borderId="0" xfId="0" applyFont="1" applyFill="1" applyBorder="1" applyAlignment="1">
      <alignment horizontal="center"/>
    </xf>
    <xf numFmtId="0" fontId="14" fillId="4" borderId="8" xfId="0" applyFont="1" applyFill="1" applyBorder="1" applyAlignment="1">
      <alignment vertical="center"/>
    </xf>
    <xf numFmtId="0" fontId="8" fillId="4" borderId="0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0" fillId="4" borderId="1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0" borderId="9" xfId="0" applyFont="1" applyBorder="1" applyAlignment="1" applyProtection="1">
      <alignment horizontal="center"/>
      <protection locked="0"/>
    </xf>
    <xf numFmtId="0" fontId="7" fillId="7" borderId="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4FE9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23</xdr:row>
      <xdr:rowOff>104774</xdr:rowOff>
    </xdr:from>
    <xdr:to>
      <xdr:col>4</xdr:col>
      <xdr:colOff>448235</xdr:colOff>
      <xdr:row>41</xdr:row>
      <xdr:rowOff>11205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4198843" y="4867274"/>
          <a:ext cx="429186" cy="3548343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1176617</xdr:colOff>
      <xdr:row>23</xdr:row>
      <xdr:rowOff>44823</xdr:rowOff>
    </xdr:from>
    <xdr:to>
      <xdr:col>4</xdr:col>
      <xdr:colOff>1591234</xdr:colOff>
      <xdr:row>40</xdr:row>
      <xdr:rowOff>212910</xdr:rowOff>
    </xdr:to>
    <xdr:sp macro="" textlink="">
      <xdr:nvSpPr>
        <xdr:cNvPr id="1040" name="Line 2"/>
        <xdr:cNvSpPr>
          <a:spLocks noChangeShapeType="1"/>
        </xdr:cNvSpPr>
      </xdr:nvSpPr>
      <xdr:spPr bwMode="auto">
        <a:xfrm flipV="1">
          <a:off x="5356411" y="4807323"/>
          <a:ext cx="414617" cy="3597087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781050</xdr:colOff>
      <xdr:row>22</xdr:row>
      <xdr:rowOff>190500</xdr:rowOff>
    </xdr:from>
    <xdr:to>
      <xdr:col>6</xdr:col>
      <xdr:colOff>819150</xdr:colOff>
      <xdr:row>40</xdr:row>
      <xdr:rowOff>171449</xdr:rowOff>
    </xdr:to>
    <xdr:sp macro="" textlink="">
      <xdr:nvSpPr>
        <xdr:cNvPr id="1041" name="Line 2"/>
        <xdr:cNvSpPr>
          <a:spLocks noChangeShapeType="1"/>
        </xdr:cNvSpPr>
      </xdr:nvSpPr>
      <xdr:spPr bwMode="auto">
        <a:xfrm flipH="1" flipV="1">
          <a:off x="6715125" y="4733925"/>
          <a:ext cx="38100" cy="3590924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161926</xdr:colOff>
      <xdr:row>23</xdr:row>
      <xdr:rowOff>57150</xdr:rowOff>
    </xdr:from>
    <xdr:to>
      <xdr:col>6</xdr:col>
      <xdr:colOff>180976</xdr:colOff>
      <xdr:row>41</xdr:row>
      <xdr:rowOff>9525</xdr:rowOff>
    </xdr:to>
    <xdr:sp macro="" textlink="">
      <xdr:nvSpPr>
        <xdr:cNvPr id="1042" name="Line 1"/>
        <xdr:cNvSpPr>
          <a:spLocks noChangeShapeType="1"/>
        </xdr:cNvSpPr>
      </xdr:nvSpPr>
      <xdr:spPr bwMode="auto">
        <a:xfrm>
          <a:off x="6096001" y="4800600"/>
          <a:ext cx="19050" cy="3571875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232522</xdr:colOff>
      <xdr:row>43</xdr:row>
      <xdr:rowOff>62192</xdr:rowOff>
    </xdr:from>
    <xdr:to>
      <xdr:col>1</xdr:col>
      <xdr:colOff>1019735</xdr:colOff>
      <xdr:row>44</xdr:row>
      <xdr:rowOff>145677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232522" y="8074398"/>
          <a:ext cx="1560419" cy="24036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da-DK" sz="800" b="0" i="0" u="none" strike="noStrike" baseline="0">
              <a:solidFill>
                <a:srgbClr val="000000"/>
              </a:solidFill>
              <a:latin typeface="Calibri"/>
            </a:rPr>
            <a:t>Udarbejdet af Flemming Ballum</a:t>
          </a:r>
        </a:p>
        <a:p>
          <a:pPr algn="l" rtl="0">
            <a:defRPr sz="1000"/>
          </a:pPr>
          <a:endParaRPr lang="da-DK" sz="8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showGridLines="0" tabSelected="1" zoomScale="85" zoomScaleNormal="85" zoomScaleSheetLayoutView="115" workbookViewId="0">
      <selection activeCell="G11" sqref="G11"/>
    </sheetView>
  </sheetViews>
  <sheetFormatPr defaultColWidth="11.5703125" defaultRowHeight="12.75" x14ac:dyDescent="0.2"/>
  <cols>
    <col min="2" max="2" width="21.5703125" customWidth="1"/>
    <col min="3" max="3" width="15.7109375" customWidth="1"/>
    <col min="4" max="4" width="13.7109375" customWidth="1"/>
    <col min="5" max="5" width="25.7109375" customWidth="1"/>
    <col min="6" max="6" width="5.5703125" customWidth="1"/>
    <col min="7" max="7" width="14" customWidth="1"/>
    <col min="8" max="8" width="6.28515625" customWidth="1"/>
    <col min="9" max="9" width="14.7109375" customWidth="1"/>
    <col min="11" max="11" width="6.5703125" customWidth="1"/>
  </cols>
  <sheetData>
    <row r="1" spans="2:12" ht="13.5" thickBot="1" x14ac:dyDescent="0.25"/>
    <row r="2" spans="2:12" ht="41.25" customHeight="1" thickBot="1" x14ac:dyDescent="0.25">
      <c r="B2" s="51" t="s">
        <v>28</v>
      </c>
      <c r="C2" s="52"/>
      <c r="D2" s="52"/>
      <c r="E2" s="52"/>
      <c r="F2" s="52"/>
      <c r="G2" s="52"/>
      <c r="H2" s="52"/>
      <c r="I2" s="52"/>
      <c r="J2" s="52"/>
      <c r="K2" s="53"/>
    </row>
    <row r="3" spans="2:12" ht="13.5" thickBot="1" x14ac:dyDescent="0.25"/>
    <row r="4" spans="2:12" ht="20.25" thickBot="1" x14ac:dyDescent="0.45">
      <c r="B4" s="58" t="s">
        <v>30</v>
      </c>
      <c r="C4" s="59"/>
      <c r="D4" s="60"/>
      <c r="E4" s="29" t="s">
        <v>29</v>
      </c>
      <c r="F4" s="57"/>
      <c r="G4" s="57"/>
      <c r="H4" s="57"/>
      <c r="I4" s="57"/>
      <c r="J4" s="57"/>
      <c r="K4" s="57"/>
    </row>
    <row r="7" spans="2:12" ht="15.95" customHeight="1" x14ac:dyDescent="0.4">
      <c r="B7" s="54" t="s">
        <v>25</v>
      </c>
      <c r="C7" s="54"/>
      <c r="E7" s="55" t="s">
        <v>0</v>
      </c>
      <c r="F7" s="55"/>
      <c r="G7" s="55"/>
      <c r="I7" s="56" t="s">
        <v>23</v>
      </c>
      <c r="J7" s="56"/>
      <c r="K7" s="56"/>
    </row>
    <row r="8" spans="2:12" ht="15.75" thickBot="1" x14ac:dyDescent="0.35">
      <c r="B8" s="15"/>
      <c r="C8" s="1"/>
      <c r="E8" s="16"/>
      <c r="I8" s="16"/>
    </row>
    <row r="9" spans="2:12" ht="15.95" customHeight="1" thickBot="1" x14ac:dyDescent="0.35">
      <c r="B9" s="17" t="s">
        <v>1</v>
      </c>
      <c r="C9" s="30">
        <v>400</v>
      </c>
      <c r="D9" s="20" t="s">
        <v>24</v>
      </c>
      <c r="E9" s="18" t="s">
        <v>18</v>
      </c>
      <c r="F9" s="20"/>
      <c r="G9" s="30">
        <v>8</v>
      </c>
      <c r="H9" s="20" t="s">
        <v>24</v>
      </c>
      <c r="I9" s="18" t="s">
        <v>15</v>
      </c>
      <c r="J9" s="23">
        <f>ROUNDUP((C15-G11-G13)/G15,0)</f>
        <v>10</v>
      </c>
      <c r="K9" s="22" t="s">
        <v>14</v>
      </c>
      <c r="L9" s="16"/>
    </row>
    <row r="10" spans="2:12" ht="15.95" customHeight="1" thickBot="1" x14ac:dyDescent="0.35">
      <c r="B10" s="19"/>
      <c r="C10" s="24"/>
      <c r="D10" s="20"/>
      <c r="E10" s="20"/>
      <c r="F10" s="20"/>
      <c r="G10" s="20"/>
      <c r="H10" s="20"/>
      <c r="I10" s="21"/>
      <c r="J10" s="20"/>
      <c r="K10" s="20"/>
      <c r="L10" s="16"/>
    </row>
    <row r="11" spans="2:12" ht="15.95" customHeight="1" thickBot="1" x14ac:dyDescent="0.35">
      <c r="B11" s="17" t="s">
        <v>3</v>
      </c>
      <c r="C11" s="30">
        <v>200</v>
      </c>
      <c r="D11" s="20" t="s">
        <v>24</v>
      </c>
      <c r="E11" s="18" t="s">
        <v>2</v>
      </c>
      <c r="F11" s="20"/>
      <c r="G11" s="30">
        <v>30</v>
      </c>
      <c r="H11" s="20" t="s">
        <v>24</v>
      </c>
      <c r="I11" s="18" t="s">
        <v>17</v>
      </c>
      <c r="J11" s="25">
        <f>J9+1</f>
        <v>11</v>
      </c>
      <c r="K11" s="22" t="s">
        <v>14</v>
      </c>
      <c r="L11" s="16"/>
    </row>
    <row r="12" spans="2:12" ht="15.95" customHeight="1" thickBot="1" x14ac:dyDescent="0.35">
      <c r="B12" s="19"/>
      <c r="C12" s="24"/>
      <c r="D12" s="20"/>
      <c r="E12" s="20"/>
      <c r="F12" s="20"/>
      <c r="G12" s="20"/>
      <c r="H12" s="20"/>
      <c r="I12" s="21"/>
      <c r="J12" s="20"/>
      <c r="K12" s="20"/>
      <c r="L12" s="16"/>
    </row>
    <row r="13" spans="2:12" ht="15.95" customHeight="1" thickBot="1" x14ac:dyDescent="0.35">
      <c r="B13" s="21" t="s">
        <v>5</v>
      </c>
      <c r="C13" s="30">
        <v>200</v>
      </c>
      <c r="D13" s="20" t="s">
        <v>24</v>
      </c>
      <c r="E13" s="18" t="s">
        <v>4</v>
      </c>
      <c r="F13" s="20"/>
      <c r="G13" s="30">
        <v>40</v>
      </c>
      <c r="H13" s="20" t="s">
        <v>24</v>
      </c>
      <c r="I13" s="18" t="s">
        <v>19</v>
      </c>
      <c r="J13" s="26">
        <f>(((C9+C11)/2)/1000)*(C15/1000)*(C13/1000)</f>
        <v>0.11399999999999999</v>
      </c>
      <c r="K13" s="28" t="s">
        <v>22</v>
      </c>
      <c r="L13" s="16"/>
    </row>
    <row r="14" spans="2:12" ht="15.95" customHeight="1" thickBot="1" x14ac:dyDescent="0.35">
      <c r="B14" s="20"/>
      <c r="C14" s="20"/>
      <c r="D14" s="20"/>
      <c r="E14" s="20"/>
      <c r="F14" s="20"/>
      <c r="G14" s="20"/>
      <c r="H14" s="20"/>
      <c r="I14" s="21"/>
      <c r="J14" s="20"/>
      <c r="K14" s="20"/>
      <c r="L14" s="16"/>
    </row>
    <row r="15" spans="2:12" ht="15.95" customHeight="1" thickBot="1" x14ac:dyDescent="0.35">
      <c r="B15" s="17" t="s">
        <v>6</v>
      </c>
      <c r="C15" s="30">
        <v>1900</v>
      </c>
      <c r="D15" s="20" t="s">
        <v>24</v>
      </c>
      <c r="E15" s="18" t="s">
        <v>26</v>
      </c>
      <c r="F15" s="20"/>
      <c r="G15" s="30">
        <v>200</v>
      </c>
      <c r="H15" s="20" t="s">
        <v>24</v>
      </c>
      <c r="I15" s="18" t="s">
        <v>20</v>
      </c>
      <c r="J15" s="26">
        <f>J13*0.1</f>
        <v>1.14E-2</v>
      </c>
      <c r="K15" s="28" t="s">
        <v>22</v>
      </c>
      <c r="L15" s="16"/>
    </row>
    <row r="16" spans="2:12" ht="15.95" customHeight="1" thickBot="1" x14ac:dyDescent="0.35">
      <c r="B16" s="20"/>
      <c r="C16" s="20"/>
      <c r="D16" s="20"/>
      <c r="E16" s="18"/>
      <c r="F16" s="20"/>
      <c r="G16" s="20"/>
      <c r="H16" s="20"/>
      <c r="I16" s="21"/>
      <c r="J16" s="20"/>
      <c r="K16" s="20"/>
      <c r="L16" s="16"/>
    </row>
    <row r="17" spans="2:12" ht="15.95" customHeight="1" thickBot="1" x14ac:dyDescent="0.35">
      <c r="B17" s="21" t="s">
        <v>7</v>
      </c>
      <c r="C17" s="30">
        <v>25</v>
      </c>
      <c r="D17" s="20" t="s">
        <v>24</v>
      </c>
      <c r="E17" s="18" t="s">
        <v>16</v>
      </c>
      <c r="F17" s="20"/>
      <c r="G17" s="27">
        <f>(C15-G11-G13)/J9</f>
        <v>183</v>
      </c>
      <c r="H17" s="20" t="s">
        <v>24</v>
      </c>
      <c r="I17" s="18" t="s">
        <v>21</v>
      </c>
      <c r="J17" s="26">
        <f>J13+J15</f>
        <v>0.12539999999999998</v>
      </c>
      <c r="K17" s="28" t="s">
        <v>22</v>
      </c>
      <c r="L17" s="16"/>
    </row>
    <row r="18" spans="2:12" ht="15.75" x14ac:dyDescent="0.25">
      <c r="E18" s="2"/>
      <c r="F18" s="2"/>
    </row>
    <row r="19" spans="2:12" ht="13.5" thickBot="1" x14ac:dyDescent="0.25">
      <c r="K19" s="31"/>
    </row>
    <row r="20" spans="2:12" x14ac:dyDescent="0.2">
      <c r="B20" s="4"/>
      <c r="C20" s="5"/>
      <c r="D20" s="5"/>
      <c r="E20" s="5"/>
      <c r="F20" s="5"/>
      <c r="G20" s="5"/>
      <c r="H20" s="5"/>
      <c r="I20" s="5"/>
      <c r="J20" s="5"/>
      <c r="K20" s="36"/>
    </row>
    <row r="21" spans="2:12" ht="15" x14ac:dyDescent="0.3">
      <c r="B21" s="41"/>
      <c r="C21" s="42"/>
      <c r="D21" s="42"/>
      <c r="E21" s="43" t="s">
        <v>11</v>
      </c>
      <c r="F21" s="42"/>
      <c r="G21" s="43" t="s">
        <v>12</v>
      </c>
      <c r="H21" s="42"/>
      <c r="I21" s="42"/>
      <c r="J21" s="42"/>
      <c r="K21" s="44"/>
    </row>
    <row r="22" spans="2:12" ht="15" x14ac:dyDescent="0.3">
      <c r="B22" s="46" t="s">
        <v>8</v>
      </c>
      <c r="C22" s="45" t="s">
        <v>13</v>
      </c>
      <c r="D22" s="42"/>
      <c r="E22" s="43" t="s">
        <v>9</v>
      </c>
      <c r="F22" s="42"/>
      <c r="G22" s="42" t="s">
        <v>10</v>
      </c>
      <c r="H22" s="42"/>
      <c r="I22" s="45" t="s">
        <v>27</v>
      </c>
      <c r="J22" s="42"/>
      <c r="K22" s="44"/>
    </row>
    <row r="23" spans="2:12" ht="15.75" x14ac:dyDescent="0.25">
      <c r="B23" s="8"/>
      <c r="C23" s="9"/>
      <c r="D23" s="6"/>
      <c r="E23" s="10"/>
      <c r="F23" s="6"/>
      <c r="G23" s="6"/>
      <c r="H23" s="6"/>
      <c r="I23" s="10"/>
      <c r="J23" s="6"/>
      <c r="K23" s="37"/>
    </row>
    <row r="24" spans="2:12" ht="15.75" x14ac:dyDescent="0.25">
      <c r="B24" s="47">
        <v>18</v>
      </c>
      <c r="C24" s="11" t="str">
        <f>IF(K24="nej","",((C25+G17)))</f>
        <v/>
      </c>
      <c r="D24" s="6" t="str">
        <f>IF(K24="nej","",(("mm.")))</f>
        <v/>
      </c>
      <c r="E24" s="12" t="str">
        <f>IF(K24="nej","",((C11-(C17*2)+((C9-C11)/C15)*(G11+G17+G17+G17+G17+G17+G17+G17+G17+G17+G17+G17+G17+G17+G17+G17+G17+G17))))</f>
        <v/>
      </c>
      <c r="F24" s="6"/>
      <c r="G24" s="12" t="str">
        <f>IF(K24="nej","",((C13-C17-C17)))</f>
        <v/>
      </c>
      <c r="H24" s="6"/>
      <c r="I24" s="13" t="str">
        <f>IF(K24="nej","",((E24+G24)*2+(G9*13)))</f>
        <v/>
      </c>
      <c r="J24" s="6" t="str">
        <f>IF(K24="nej","",(("mm.")))</f>
        <v/>
      </c>
      <c r="K24" s="38" t="str">
        <f>IF(J11&gt;=B24,"Ja","Nej")</f>
        <v>Nej</v>
      </c>
    </row>
    <row r="25" spans="2:12" ht="15.75" x14ac:dyDescent="0.25">
      <c r="B25" s="47">
        <v>17</v>
      </c>
      <c r="C25" s="11" t="str">
        <f>IF(K25="nej","",((C26+G17)))</f>
        <v/>
      </c>
      <c r="D25" s="6" t="str">
        <f>IF(K25="nej","",(("mm.")))</f>
        <v/>
      </c>
      <c r="E25" s="12" t="str">
        <f>IF(K25="nej","",((C11-(C17*2)+((C9-C11)/C15)*(G11+G17+G17+G17+G17+G17+G17+G17+G17+G17+G17+G17+G17+G17+G17+G17+G17))))</f>
        <v/>
      </c>
      <c r="F25" s="6"/>
      <c r="G25" s="12" t="str">
        <f>IF(K25="nej","",((C13-C17-C17)))</f>
        <v/>
      </c>
      <c r="H25" s="6"/>
      <c r="I25" s="13" t="str">
        <f>IF(K25="nej","",((E25+G25)*2+(G9*13)))</f>
        <v/>
      </c>
      <c r="J25" s="6" t="str">
        <f>IF(K25="nej","",(("mm.")))</f>
        <v/>
      </c>
      <c r="K25" s="38" t="str">
        <f>IF(J11&gt;=B25,"Ja","Nej")</f>
        <v>Nej</v>
      </c>
    </row>
    <row r="26" spans="2:12" ht="15.75" x14ac:dyDescent="0.25">
      <c r="B26" s="47">
        <v>16</v>
      </c>
      <c r="C26" s="11" t="str">
        <f>IF(K26="nej","",((C27+G17)))</f>
        <v/>
      </c>
      <c r="D26" s="6" t="str">
        <f>IF(K26="nej","",(("mm.")))</f>
        <v/>
      </c>
      <c r="E26" s="12" t="str">
        <f>IF(K26="nej","",((C11-(C17*2)+((C9-C11)/C15)*(G11+G17+G17+G17+G17+G17+G17+G17+G17+G17+G17+G17+G17+G17+G17+G17))))</f>
        <v/>
      </c>
      <c r="F26" s="6"/>
      <c r="G26" s="12" t="str">
        <f>IF(K26="nej","",((C13-C17-C17)))</f>
        <v/>
      </c>
      <c r="H26" s="6"/>
      <c r="I26" s="13" t="str">
        <f>IF(K26="nej","",((E26+G26)*2+(G9*13)))</f>
        <v/>
      </c>
      <c r="J26" s="6" t="str">
        <f>IF(K26="nej","",(("mm.")))</f>
        <v/>
      </c>
      <c r="K26" s="38" t="str">
        <f>IF(J11&gt;=B26,"Ja","Nej")</f>
        <v>Nej</v>
      </c>
    </row>
    <row r="27" spans="2:12" ht="15.75" x14ac:dyDescent="0.25">
      <c r="B27" s="47">
        <v>15</v>
      </c>
      <c r="C27" s="11" t="str">
        <f>IF(K27="nej","",((C28+G17)))</f>
        <v/>
      </c>
      <c r="D27" s="6" t="str">
        <f t="shared" ref="D27:D28" si="0">IF(K27="nej","",(("mm.")))</f>
        <v/>
      </c>
      <c r="E27" s="12" t="str">
        <f>IF(K27="nej","",((C11-(C17*2)+((C9-C11)/C15)*(G11+G17+G17+G17+G17+G17+G17+G17+G17+G17+G17+G17+G17+G17+G17))))</f>
        <v/>
      </c>
      <c r="F27" s="7"/>
      <c r="G27" s="12" t="str">
        <f>IF(K27="nej","",((C13-C17-C17)))</f>
        <v/>
      </c>
      <c r="H27" s="6"/>
      <c r="I27" s="13" t="str">
        <f>IF(K27="nej","",((E27+G27)*2+(G9*13)))</f>
        <v/>
      </c>
      <c r="J27" s="6" t="str">
        <f t="shared" ref="J27:J28" si="1">IF(K27="nej","",(("mm.")))</f>
        <v/>
      </c>
      <c r="K27" s="39" t="str">
        <f>IF(J11&gt;=B27,"Ja","Nej")</f>
        <v>Nej</v>
      </c>
    </row>
    <row r="28" spans="2:12" ht="15.75" x14ac:dyDescent="0.25">
      <c r="B28" s="47">
        <v>14</v>
      </c>
      <c r="C28" s="11" t="str">
        <f>IF(K28="nej","",((C29+G17)))</f>
        <v/>
      </c>
      <c r="D28" s="6" t="str">
        <f t="shared" si="0"/>
        <v/>
      </c>
      <c r="E28" s="12" t="str">
        <f>IF(K28="nej","",((C11-(C17*2)+((C9-C11)/C15)*(G11+G17+G17+G17+G17+G17+G17+G17+G17+G17+G17+G17+G17+G17))))</f>
        <v/>
      </c>
      <c r="F28" s="7"/>
      <c r="G28" s="12" t="str">
        <f>IF(K28="nej","",((C13-C17-C17)))</f>
        <v/>
      </c>
      <c r="H28" s="6"/>
      <c r="I28" s="13" t="str">
        <f>IF(K28="nej","",((E28+G28)*2+(G9*13)))</f>
        <v/>
      </c>
      <c r="J28" s="6" t="str">
        <f t="shared" si="1"/>
        <v/>
      </c>
      <c r="K28" s="39" t="str">
        <f>IF(J11&gt;=B28,"Ja","Nej")</f>
        <v>Nej</v>
      </c>
    </row>
    <row r="29" spans="2:12" x14ac:dyDescent="0.2">
      <c r="B29" s="47">
        <v>13</v>
      </c>
      <c r="C29" s="11" t="str">
        <f>IF(K29="nej","",((C30+G17)))</f>
        <v/>
      </c>
      <c r="D29" s="6" t="str">
        <f t="shared" ref="D29:D41" si="2">IF(K29="nej","",(("mm")))</f>
        <v/>
      </c>
      <c r="E29" s="49" t="str">
        <f>IF(K29="nej","",((C11-(C17*2)+((C9-C11)/C15)*(G11+G17+G17+G17+G17+G17+G17+G17+G17+G17+G17+G17+G17))))</f>
        <v/>
      </c>
      <c r="F29" s="7"/>
      <c r="G29" s="49" t="str">
        <f>IF(K29="nej","",((C13-C17-C17)))</f>
        <v/>
      </c>
      <c r="H29" s="6"/>
      <c r="I29" s="13" t="str">
        <f>IF(K29="nej","",((E29+G29)*2+(G9*13)))</f>
        <v/>
      </c>
      <c r="J29" s="6" t="str">
        <f t="shared" ref="J29:J41" si="3">IF(K29="nej","",(("mm")))</f>
        <v/>
      </c>
      <c r="K29" s="39" t="str">
        <f>IF(J11&gt;=B29,"Ja","Nej")</f>
        <v>Nej</v>
      </c>
    </row>
    <row r="30" spans="2:12" x14ac:dyDescent="0.2">
      <c r="B30" s="47">
        <v>12</v>
      </c>
      <c r="C30" s="11" t="str">
        <f>IF(K30="nej","",((C31+G17)))</f>
        <v/>
      </c>
      <c r="D30" s="6" t="str">
        <f t="shared" si="2"/>
        <v/>
      </c>
      <c r="E30" s="49" t="str">
        <f>IF(K30="nej","",((C11-(C17*2)+((C9-C11)/C15)*(G11+G17+G17+G17+G17+G17+G17+G17+G17+G17+G17+G17))))</f>
        <v/>
      </c>
      <c r="F30" s="7"/>
      <c r="G30" s="49" t="str">
        <f>IF(K30="nej","",((C13-C17-C17)))</f>
        <v/>
      </c>
      <c r="H30" s="6"/>
      <c r="I30" s="13" t="str">
        <f>IF(K30="nej","",((E30+G30)*2+(G9*13)))</f>
        <v/>
      </c>
      <c r="J30" s="6" t="str">
        <f t="shared" si="3"/>
        <v/>
      </c>
      <c r="K30" s="39" t="str">
        <f>IF(J11&gt;=B30,"Ja","Nej")</f>
        <v>Nej</v>
      </c>
    </row>
    <row r="31" spans="2:12" x14ac:dyDescent="0.2">
      <c r="B31" s="47">
        <v>11</v>
      </c>
      <c r="C31" s="11" t="str">
        <f>IF(K31="nej","",((C32+G17)))</f>
        <v/>
      </c>
      <c r="D31" s="6" t="str">
        <f t="shared" si="2"/>
        <v/>
      </c>
      <c r="E31" s="49" t="str">
        <f>IF(K31="nej","",((C11-(C17*2)+((C9-C11)/C15)*(G11+G17+G17+G17+G17+G17+G17+G17+G17+G17+G17))))</f>
        <v/>
      </c>
      <c r="F31" s="7"/>
      <c r="G31" s="49" t="str">
        <f>IF(K30="nej","",((C13-C17-C17)))</f>
        <v/>
      </c>
      <c r="H31" s="6"/>
      <c r="I31" s="13" t="str">
        <f>IF(K31="nej","",((E31+G31)*2+(G9*13)))</f>
        <v/>
      </c>
      <c r="J31" s="6" t="str">
        <f t="shared" si="3"/>
        <v/>
      </c>
      <c r="K31" s="39" t="str">
        <f>IF(J11&gt;B31,"Ja","Nej")</f>
        <v>Nej</v>
      </c>
    </row>
    <row r="32" spans="2:12" x14ac:dyDescent="0.2">
      <c r="B32" s="47">
        <v>10</v>
      </c>
      <c r="C32" s="11">
        <f>IF(K32="nej","",((C33+G17)))</f>
        <v>1677</v>
      </c>
      <c r="D32" s="6" t="str">
        <f t="shared" si="2"/>
        <v>mm</v>
      </c>
      <c r="E32" s="49">
        <f>IF(K32="nej","",((C11-(C17*2)+((C9-C11)/C15)*(G11+G17+G17+G17+G17+G17+G17+G17+G17+G17))))</f>
        <v>326.52631578947364</v>
      </c>
      <c r="F32" s="7"/>
      <c r="G32" s="49">
        <f>IF(K32="nej","",((C13-C17-C17)))</f>
        <v>150</v>
      </c>
      <c r="H32" s="6"/>
      <c r="I32" s="13">
        <f>IF(K32="nej","",((E32+G32)*2+(G9*13)))</f>
        <v>1057.0526315789473</v>
      </c>
      <c r="J32" s="6" t="str">
        <f t="shared" si="3"/>
        <v>mm</v>
      </c>
      <c r="K32" s="39" t="str">
        <f>IF(J11&gt;=B32,"Ja","Nej")</f>
        <v>Ja</v>
      </c>
    </row>
    <row r="33" spans="2:11" x14ac:dyDescent="0.2">
      <c r="B33" s="47">
        <v>9</v>
      </c>
      <c r="C33" s="11">
        <f>IF(K33="nej","",((C34+G17)))</f>
        <v>1494</v>
      </c>
      <c r="D33" s="6" t="str">
        <f t="shared" si="2"/>
        <v>mm</v>
      </c>
      <c r="E33" s="49">
        <f>IF(K33="nej","",((C11-(C17*2)+((C9-C11)/C15)*(G11+G17+G17+G17+G17+G17+G17+G17+G17))))</f>
        <v>307.26315789473682</v>
      </c>
      <c r="F33" s="7"/>
      <c r="G33" s="49">
        <f>IF(K33="nej","",((C13-C17-C17)))</f>
        <v>150</v>
      </c>
      <c r="H33" s="6"/>
      <c r="I33" s="13">
        <f>IF(K33="nej","",((E33+G33)*2+(G9*13)))</f>
        <v>1018.5263157894736</v>
      </c>
      <c r="J33" s="6" t="str">
        <f t="shared" si="3"/>
        <v>mm</v>
      </c>
      <c r="K33" s="39" t="str">
        <f>IF(J11&gt;=B33,"Ja","Nej")</f>
        <v>Ja</v>
      </c>
    </row>
    <row r="34" spans="2:11" x14ac:dyDescent="0.2">
      <c r="B34" s="47">
        <v>8</v>
      </c>
      <c r="C34" s="11">
        <f>IF(K34="nej","",((C35+G17)))</f>
        <v>1311</v>
      </c>
      <c r="D34" s="6" t="str">
        <f t="shared" si="2"/>
        <v>mm</v>
      </c>
      <c r="E34" s="49">
        <f>IF(K34="nej","",((C11-(C17*2)+((C9-C11)/C15)*(G11+G17+G17+G17+G17+G17+G17+G17))))</f>
        <v>288</v>
      </c>
      <c r="F34" s="7"/>
      <c r="G34" s="49">
        <f>IF(K34="nej","",((C13-C17-C17)))</f>
        <v>150</v>
      </c>
      <c r="H34" s="6"/>
      <c r="I34" s="13">
        <f>IF(K34="nej","",((E34+G34)*2+(G9*13)))</f>
        <v>980</v>
      </c>
      <c r="J34" s="6" t="str">
        <f t="shared" si="3"/>
        <v>mm</v>
      </c>
      <c r="K34" s="39" t="str">
        <f>IF(J11&gt;=B34,"Ja","Nej")</f>
        <v>Ja</v>
      </c>
    </row>
    <row r="35" spans="2:11" x14ac:dyDescent="0.2">
      <c r="B35" s="47">
        <v>7</v>
      </c>
      <c r="C35" s="11">
        <f>IF(K35="nej","",((C36+G17)))</f>
        <v>1128</v>
      </c>
      <c r="D35" s="6" t="str">
        <f t="shared" si="2"/>
        <v>mm</v>
      </c>
      <c r="E35" s="49">
        <f>IF(K35="nej","",((C11-(C17*2)+((C9-C11)/C15)*(G11+G17+G17+G17+G17+G17+G17))))</f>
        <v>268.73684210526312</v>
      </c>
      <c r="F35" s="7"/>
      <c r="G35" s="49">
        <f>IF(K35="nej","",((C13-C17-C17)))</f>
        <v>150</v>
      </c>
      <c r="H35" s="6"/>
      <c r="I35" s="13">
        <f>IF(K35="nej","",((E35+G35)*2+(G9*13)))</f>
        <v>941.47368421052624</v>
      </c>
      <c r="J35" s="6" t="str">
        <f t="shared" si="3"/>
        <v>mm</v>
      </c>
      <c r="K35" s="39" t="str">
        <f>IF(J11&gt;=B35,"Ja","Nej")</f>
        <v>Ja</v>
      </c>
    </row>
    <row r="36" spans="2:11" x14ac:dyDescent="0.2">
      <c r="B36" s="47">
        <v>6</v>
      </c>
      <c r="C36" s="11">
        <f>IF(K36="nej","",((C37+G17)))</f>
        <v>945</v>
      </c>
      <c r="D36" s="6" t="str">
        <f t="shared" si="2"/>
        <v>mm</v>
      </c>
      <c r="E36" s="49">
        <f>IF(K36="nej","",((C11-(C17*2)+((C9-C11)/C15)*(G11+G17+G17+G17+G17+G17))))</f>
        <v>249.4736842105263</v>
      </c>
      <c r="F36" s="7"/>
      <c r="G36" s="49">
        <f>IF(K36="nej","",((C13-C17-C17)))</f>
        <v>150</v>
      </c>
      <c r="H36" s="6"/>
      <c r="I36" s="13">
        <f>IF(K36="nej","",((E36+G36)*2+(G9*13)))</f>
        <v>902.9473684210526</v>
      </c>
      <c r="J36" s="6" t="str">
        <f t="shared" si="3"/>
        <v>mm</v>
      </c>
      <c r="K36" s="39" t="str">
        <f>IF(J11&gt;=B36,"Ja","Nej")</f>
        <v>Ja</v>
      </c>
    </row>
    <row r="37" spans="2:11" x14ac:dyDescent="0.2">
      <c r="B37" s="47">
        <v>5</v>
      </c>
      <c r="C37" s="11">
        <f>IF(K37="nej","",((C38+G17)))</f>
        <v>762</v>
      </c>
      <c r="D37" s="6" t="str">
        <f t="shared" si="2"/>
        <v>mm</v>
      </c>
      <c r="E37" s="49">
        <f>IF(K37="nej","",((C11-(C17*2)+((C9-C11)/C15)*(G11+G17+G17+G17+G17))))</f>
        <v>230.21052631578948</v>
      </c>
      <c r="F37" s="7"/>
      <c r="G37" s="49">
        <f>IF(K37="nej","",((C13-C17-C17)))</f>
        <v>150</v>
      </c>
      <c r="H37" s="6"/>
      <c r="I37" s="13">
        <f>IF(K37="nej","",((E37+G37)*2+(G9*13)))</f>
        <v>864.42105263157896</v>
      </c>
      <c r="J37" s="6" t="str">
        <f t="shared" si="3"/>
        <v>mm</v>
      </c>
      <c r="K37" s="39" t="str">
        <f>IF(J11&gt;=B37,"Ja","Nej")</f>
        <v>Ja</v>
      </c>
    </row>
    <row r="38" spans="2:11" x14ac:dyDescent="0.2">
      <c r="B38" s="47">
        <v>4</v>
      </c>
      <c r="C38" s="11">
        <f>IF(K38="nej","",((C39+G17)))</f>
        <v>579</v>
      </c>
      <c r="D38" s="6" t="str">
        <f t="shared" si="2"/>
        <v>mm</v>
      </c>
      <c r="E38" s="49">
        <f>IF(K38="nej","",((C11-(C17*2)+((C9-C11)/C15)*(G11+G17+G17+G17))))</f>
        <v>210.94736842105263</v>
      </c>
      <c r="F38" s="7"/>
      <c r="G38" s="49">
        <f>IF(K38="nej","",((C13-C17-C17)))</f>
        <v>150</v>
      </c>
      <c r="H38" s="6"/>
      <c r="I38" s="13">
        <f>IF(K38="nej","",((E38+G38)*2+(G9*13)))</f>
        <v>825.8947368421052</v>
      </c>
      <c r="J38" s="6" t="str">
        <f t="shared" si="3"/>
        <v>mm</v>
      </c>
      <c r="K38" s="39" t="str">
        <f>IF(J11&gt;=B38,"Ja","Nej")</f>
        <v>Ja</v>
      </c>
    </row>
    <row r="39" spans="2:11" x14ac:dyDescent="0.2">
      <c r="B39" s="47">
        <v>3</v>
      </c>
      <c r="C39" s="11">
        <f>IF(K39="nej","",((C40+G17)))</f>
        <v>396</v>
      </c>
      <c r="D39" s="6" t="str">
        <f t="shared" si="2"/>
        <v>mm</v>
      </c>
      <c r="E39" s="49">
        <f>IF(K39="nej","",((C11-(C17*2)+((C9-C11)/C15)*(G11+G17+G17))))</f>
        <v>191.68421052631578</v>
      </c>
      <c r="F39" s="7"/>
      <c r="G39" s="49">
        <f>IF(K39="nej","",((C13-C17-C17)))</f>
        <v>150</v>
      </c>
      <c r="H39" s="6"/>
      <c r="I39" s="13">
        <f>IF(K39="nej","",((E39+G39)*2+(G9*13)))</f>
        <v>787.36842105263156</v>
      </c>
      <c r="J39" s="6" t="str">
        <f t="shared" si="3"/>
        <v>mm</v>
      </c>
      <c r="K39" s="39" t="str">
        <f>IF(J11&gt;=B39,"Ja","Nej")</f>
        <v>Ja</v>
      </c>
    </row>
    <row r="40" spans="2:11" x14ac:dyDescent="0.2">
      <c r="B40" s="47">
        <v>2</v>
      </c>
      <c r="C40" s="11">
        <f>IF(K40="nej","",((C41+G17)))</f>
        <v>213</v>
      </c>
      <c r="D40" s="6" t="str">
        <f t="shared" si="2"/>
        <v>mm</v>
      </c>
      <c r="E40" s="49">
        <f>IF(K40="nej","",((C11-(C17*2)+((C9-C11)/C15)*(G11+G17))))</f>
        <v>172.42105263157896</v>
      </c>
      <c r="F40" s="7"/>
      <c r="G40" s="49">
        <f>IF(K40="nej","",((C13-C17-C17)))</f>
        <v>150</v>
      </c>
      <c r="H40" s="6"/>
      <c r="I40" s="13">
        <f>IF(K40="nej","",((E40+G40)*2+(G9*13)))</f>
        <v>748.84210526315792</v>
      </c>
      <c r="J40" s="6" t="str">
        <f t="shared" si="3"/>
        <v>mm</v>
      </c>
      <c r="K40" s="39" t="str">
        <f>IF(J11&gt;=B40,"Ja","Nej")</f>
        <v>Ja</v>
      </c>
    </row>
    <row r="41" spans="2:11" ht="13.5" thickBot="1" x14ac:dyDescent="0.25">
      <c r="B41" s="48">
        <v>1</v>
      </c>
      <c r="C41" s="32">
        <f>G11</f>
        <v>30</v>
      </c>
      <c r="D41" s="33" t="str">
        <f t="shared" si="2"/>
        <v>mm</v>
      </c>
      <c r="E41" s="50">
        <f>(C11-(C17*2))+((C9-C11)/C15)*G11</f>
        <v>153.15789473684211</v>
      </c>
      <c r="F41" s="34"/>
      <c r="G41" s="50">
        <f>IF(K41="nej","",((C13-C17-C17)))</f>
        <v>150</v>
      </c>
      <c r="H41" s="33"/>
      <c r="I41" s="35">
        <f>IF(K41="nej","",((E41+G41)*2+(G9*13)))</f>
        <v>710.31578947368416</v>
      </c>
      <c r="J41" s="33" t="str">
        <f t="shared" si="3"/>
        <v>mm</v>
      </c>
      <c r="K41" s="40" t="str">
        <f>IF(J11&gt;=B41,"Ja","Nej-")</f>
        <v>Ja</v>
      </c>
    </row>
    <row r="42" spans="2:11" ht="2.25" customHeight="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</row>
    <row r="45" spans="2:11" x14ac:dyDescent="0.2">
      <c r="G45" s="14"/>
    </row>
  </sheetData>
  <sheetProtection password="D85F" sheet="1" objects="1" scenarios="1" selectLockedCells="1"/>
  <mergeCells count="6">
    <mergeCell ref="B2:K2"/>
    <mergeCell ref="B7:C7"/>
    <mergeCell ref="E7:G7"/>
    <mergeCell ref="I7:K7"/>
    <mergeCell ref="F4:K4"/>
    <mergeCell ref="B4:D4"/>
  </mergeCells>
  <pageMargins left="0.78740157480314965" right="0.78740157480314965" top="0.51181102362204722" bottom="0.47244094488188981" header="0.51181102362204722" footer="0.47244094488188981"/>
  <pageSetup paperSize="9" scale="79" orientation="landscape" useFirstPageNumber="1" horizontalDpi="300" verticalDpi="300" r:id="rId1"/>
  <headerFooter alignWithMargins="0">
    <oddFooter>&amp;C&amp;"Times New Roman,Normal"&amp;12Udarbejdet af: Allan Lindstrøm og Flemming Ballum</oddFooter>
  </headerFooter>
  <rowBreaks count="1" manualBreakCount="1">
    <brk id="4" max="11" man="1"/>
  </rowBreaks>
  <colBreaks count="1" manualBreakCount="1">
    <brk id="6" max="4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Klippelængde</vt:lpstr>
      <vt:lpstr>Klippelængde!Udskriftsområde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Ejer</dc:creator>
  <cp:lastModifiedBy>Ballum</cp:lastModifiedBy>
  <cp:lastPrinted>2011-05-18T16:39:30Z</cp:lastPrinted>
  <dcterms:created xsi:type="dcterms:W3CDTF">2011-05-18T14:31:42Z</dcterms:created>
  <dcterms:modified xsi:type="dcterms:W3CDTF">2012-10-27T10:45:50Z</dcterms:modified>
</cp:coreProperties>
</file>